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hoken\2_国保G（統合）\"/>
    </mc:Choice>
  </mc:AlternateContent>
  <xr:revisionPtr revIDLastSave="0" documentId="8_{FC2E50BB-2C08-46CB-A12D-682ABE450AB7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8仮計算表" sheetId="5" r:id="rId1"/>
  </sheets>
  <calcPr calcId="191029"/>
</workbook>
</file>

<file path=xl/calcChain.xml><?xml version="1.0" encoding="utf-8"?>
<calcChain xmlns="http://schemas.openxmlformats.org/spreadsheetml/2006/main">
  <c r="G52" i="5" l="1"/>
  <c r="H52" i="5" s="1"/>
  <c r="G34" i="5" s="1"/>
  <c r="H51" i="5"/>
  <c r="H50" i="5"/>
  <c r="H49" i="5"/>
  <c r="G48" i="5"/>
  <c r="H48" i="5" s="1"/>
  <c r="L23" i="5" l="1"/>
  <c r="L17" i="5"/>
  <c r="L18" i="5"/>
  <c r="L19" i="5"/>
  <c r="L20" i="5"/>
  <c r="L21" i="5"/>
  <c r="L22" i="5"/>
  <c r="S18" i="5" l="1"/>
  <c r="S19" i="5"/>
  <c r="S20" i="5"/>
  <c r="S21" i="5"/>
  <c r="S22" i="5"/>
  <c r="S23" i="5"/>
  <c r="R17" i="5"/>
  <c r="Q17" i="5"/>
  <c r="U17" i="5"/>
  <c r="W17" i="5" s="1"/>
  <c r="R23" i="5" l="1"/>
  <c r="R18" i="5"/>
  <c r="R19" i="5"/>
  <c r="R20" i="5"/>
  <c r="R21" i="5"/>
  <c r="R22" i="5"/>
  <c r="F24" i="5"/>
  <c r="U23" i="5"/>
  <c r="W23" i="5" s="1"/>
  <c r="Q23" i="5"/>
  <c r="P23" i="5"/>
  <c r="O23" i="5"/>
  <c r="N23" i="5"/>
  <c r="M23" i="5"/>
  <c r="K23" i="5"/>
  <c r="I23" i="5"/>
  <c r="H23" i="5"/>
  <c r="G23" i="5"/>
  <c r="U22" i="5"/>
  <c r="W22" i="5" s="1"/>
  <c r="Q22" i="5"/>
  <c r="P22" i="5"/>
  <c r="O22" i="5"/>
  <c r="N22" i="5"/>
  <c r="M22" i="5"/>
  <c r="K22" i="5"/>
  <c r="I22" i="5"/>
  <c r="H22" i="5"/>
  <c r="G22" i="5"/>
  <c r="U21" i="5"/>
  <c r="W21" i="5" s="1"/>
  <c r="Q21" i="5"/>
  <c r="P21" i="5"/>
  <c r="O21" i="5"/>
  <c r="N21" i="5"/>
  <c r="M21" i="5"/>
  <c r="K21" i="5"/>
  <c r="I21" i="5"/>
  <c r="H21" i="5"/>
  <c r="G21" i="5"/>
  <c r="W20" i="5"/>
  <c r="U20" i="5"/>
  <c r="V20" i="5" s="1"/>
  <c r="Q20" i="5"/>
  <c r="P20" i="5"/>
  <c r="O20" i="5"/>
  <c r="N20" i="5"/>
  <c r="M20" i="5"/>
  <c r="K20" i="5"/>
  <c r="I20" i="5"/>
  <c r="H20" i="5"/>
  <c r="G20" i="5"/>
  <c r="U19" i="5"/>
  <c r="W19" i="5" s="1"/>
  <c r="Q19" i="5"/>
  <c r="P19" i="5"/>
  <c r="O19" i="5"/>
  <c r="N19" i="5"/>
  <c r="M19" i="5"/>
  <c r="K19" i="5"/>
  <c r="I19" i="5"/>
  <c r="H19" i="5"/>
  <c r="G19" i="5"/>
  <c r="U18" i="5"/>
  <c r="W18" i="5" s="1"/>
  <c r="Q18" i="5"/>
  <c r="P18" i="5"/>
  <c r="O18" i="5"/>
  <c r="N18" i="5"/>
  <c r="I18" i="5"/>
  <c r="H18" i="5"/>
  <c r="G18" i="5"/>
  <c r="V17" i="5"/>
  <c r="P17" i="5"/>
  <c r="O17" i="5"/>
  <c r="I17" i="5"/>
  <c r="H17" i="5"/>
  <c r="G17" i="5"/>
  <c r="U16" i="5"/>
  <c r="W16" i="5" s="1"/>
  <c r="P16" i="5"/>
  <c r="I16" i="5"/>
  <c r="H16" i="5"/>
  <c r="G16" i="5"/>
  <c r="U15" i="5"/>
  <c r="W15" i="5" s="1"/>
  <c r="P15" i="5"/>
  <c r="I15" i="5"/>
  <c r="H15" i="5"/>
  <c r="G15" i="5"/>
  <c r="N15" i="5" s="1"/>
  <c r="U14" i="5"/>
  <c r="W14" i="5" s="1"/>
  <c r="I14" i="5"/>
  <c r="H14" i="5"/>
  <c r="G14" i="5"/>
  <c r="U13" i="5"/>
  <c r="V13" i="5" s="1"/>
  <c r="I13" i="5"/>
  <c r="H13" i="5"/>
  <c r="T22" i="5" l="1"/>
  <c r="T21" i="5"/>
  <c r="T19" i="5"/>
  <c r="T23" i="5"/>
  <c r="T20" i="5"/>
  <c r="V19" i="5"/>
  <c r="L16" i="5"/>
  <c r="S16" i="5"/>
  <c r="N16" i="5"/>
  <c r="L15" i="5"/>
  <c r="S15" i="5"/>
  <c r="P14" i="5"/>
  <c r="L14" i="5"/>
  <c r="N14" i="5"/>
  <c r="S14" i="5"/>
  <c r="S17" i="5"/>
  <c r="N17" i="5"/>
  <c r="V18" i="5"/>
  <c r="H24" i="5"/>
  <c r="F38" i="5" s="1"/>
  <c r="W13" i="5"/>
  <c r="I24" i="5"/>
  <c r="V23" i="5"/>
  <c r="V14" i="5"/>
  <c r="V15" i="5" s="1"/>
  <c r="V16" i="5" s="1"/>
  <c r="V22" i="5"/>
  <c r="V21" i="5"/>
  <c r="K18" i="5" l="1"/>
  <c r="M18" i="5"/>
  <c r="M17" i="5"/>
  <c r="K17" i="5"/>
  <c r="O16" i="5"/>
  <c r="M16" i="5"/>
  <c r="K16" i="5"/>
  <c r="Q16" i="5"/>
  <c r="R16" i="5"/>
  <c r="Q15" i="5"/>
  <c r="R15" i="5"/>
  <c r="O15" i="5"/>
  <c r="T18" i="5" l="1"/>
  <c r="T16" i="5"/>
  <c r="T17" i="5"/>
  <c r="E24" i="5"/>
  <c r="E25" i="5"/>
  <c r="F39" i="5" s="1"/>
  <c r="G13" i="5"/>
  <c r="S13" i="5" s="1"/>
  <c r="S24" i="5" s="1"/>
  <c r="L13" i="5" l="1"/>
  <c r="L24" i="5" s="1"/>
  <c r="F41" i="5"/>
  <c r="F40" i="5"/>
  <c r="P13" i="5"/>
  <c r="P24" i="5" s="1"/>
  <c r="G24" i="5"/>
  <c r="F37" i="5" s="1"/>
  <c r="F42" i="5" s="1"/>
  <c r="N13" i="5"/>
  <c r="N24" i="5" s="1"/>
  <c r="F43" i="5" l="1"/>
  <c r="F44" i="5"/>
  <c r="M15" i="5" l="1"/>
  <c r="K15" i="5"/>
  <c r="T15" i="5" s="1"/>
  <c r="Q13" i="5"/>
  <c r="Q14" i="5"/>
  <c r="K14" i="5"/>
  <c r="C27" i="5"/>
  <c r="O14" i="5"/>
  <c r="R13" i="5"/>
  <c r="M14" i="5"/>
  <c r="M13" i="5"/>
  <c r="R14" i="5"/>
  <c r="O13" i="5"/>
  <c r="K13" i="5"/>
  <c r="T14" i="5" l="1"/>
  <c r="T13" i="5"/>
  <c r="M24" i="5"/>
  <c r="N25" i="5" s="1"/>
  <c r="O24" i="5"/>
  <c r="P25" i="5" s="1"/>
  <c r="R24" i="5"/>
  <c r="Q24" i="5"/>
  <c r="K24" i="5"/>
  <c r="L25" i="5" s="1"/>
  <c r="S25" i="5" l="1"/>
  <c r="S27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保険課/江橋 麻由</author>
    <author>保険課/寺田　祐也</author>
  </authors>
  <commentList>
    <comment ref="J11" authorId="0" shapeId="0" xr:uid="{47D4254B-7FAE-4B45-9836-C666328A5600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月額の税額を計算する場合「1」を入力してください。
</t>
        </r>
      </text>
    </comment>
    <comment ref="D12" authorId="1" shapeId="0" xr:uid="{DD33A09F-6C90-4E7A-940C-611D618E935B}">
      <text>
        <r>
          <rPr>
            <b/>
            <sz val="11"/>
            <color indexed="81"/>
            <rFont val="MS P ゴシック"/>
            <family val="3"/>
            <charset val="128"/>
          </rPr>
          <t>年長者から入力してください。</t>
        </r>
      </text>
    </comment>
  </commentList>
</comments>
</file>

<file path=xl/sharedStrings.xml><?xml version="1.0" encoding="utf-8"?>
<sst xmlns="http://schemas.openxmlformats.org/spreadsheetml/2006/main" count="52" uniqueCount="38">
  <si>
    <t>加入者</t>
    <rPh sb="0" eb="3">
      <t>カニュウシャ</t>
    </rPh>
    <phoneticPr fontId="2"/>
  </si>
  <si>
    <t>所得</t>
    <rPh sb="0" eb="2">
      <t>ショトク</t>
    </rPh>
    <phoneticPr fontId="2"/>
  </si>
  <si>
    <t>年齢</t>
    <rPh sb="0" eb="2">
      <t>ネンレイ</t>
    </rPh>
    <phoneticPr fontId="2"/>
  </si>
  <si>
    <t>世帯</t>
    <rPh sb="0" eb="2">
      <t>セタイ</t>
    </rPh>
    <phoneticPr fontId="2"/>
  </si>
  <si>
    <t>軽減判定</t>
    <rPh sb="0" eb="2">
      <t>ケイゲン</t>
    </rPh>
    <rPh sb="2" eb="4">
      <t>ハンテイ</t>
    </rPh>
    <phoneticPr fontId="2"/>
  </si>
  <si>
    <t>人数</t>
    <rPh sb="0" eb="2">
      <t>ニンズウ</t>
    </rPh>
    <phoneticPr fontId="2"/>
  </si>
  <si>
    <t>判定額１</t>
    <rPh sb="0" eb="2">
      <t>ハンテイ</t>
    </rPh>
    <rPh sb="2" eb="3">
      <t>ガク</t>
    </rPh>
    <phoneticPr fontId="2"/>
  </si>
  <si>
    <t>判定額２</t>
    <rPh sb="0" eb="2">
      <t>ハンテイ</t>
    </rPh>
    <rPh sb="2" eb="3">
      <t>ガク</t>
    </rPh>
    <phoneticPr fontId="2"/>
  </si>
  <si>
    <t>軽減率</t>
    <rPh sb="0" eb="2">
      <t>ケイゲン</t>
    </rPh>
    <rPh sb="2" eb="3">
      <t>リツ</t>
    </rPh>
    <phoneticPr fontId="2"/>
  </si>
  <si>
    <t>課税率</t>
    <rPh sb="0" eb="2">
      <t>カゼイ</t>
    </rPh>
    <rPh sb="2" eb="3">
      <t>リツ</t>
    </rPh>
    <phoneticPr fontId="2"/>
  </si>
  <si>
    <t>判定額３</t>
    <rPh sb="0" eb="2">
      <t>ハンテイ</t>
    </rPh>
    <rPh sb="2" eb="3">
      <t>ガク</t>
    </rPh>
    <phoneticPr fontId="2"/>
  </si>
  <si>
    <t>擬制世帯のときは、主の所得を入力</t>
    <rPh sb="0" eb="1">
      <t>ギ</t>
    </rPh>
    <rPh sb="1" eb="2">
      <t>セイ</t>
    </rPh>
    <rPh sb="2" eb="4">
      <t>セタイ</t>
    </rPh>
    <rPh sb="9" eb="10">
      <t>ヌシ</t>
    </rPh>
    <rPh sb="11" eb="13">
      <t>ショトク</t>
    </rPh>
    <rPh sb="14" eb="16">
      <t>ニュウリョク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</si>
  <si>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</si>
  <si>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3">
      <t>キントウワリ</t>
    </rPh>
    <phoneticPr fontId="2"/>
  </si>
  <si>
    <t>加入
月数</t>
    <rPh sb="0" eb="2">
      <t>カニュウ</t>
    </rPh>
    <rPh sb="3" eb="5">
      <t>ツキスウ</t>
    </rPh>
    <phoneticPr fontId="2"/>
  </si>
  <si>
    <t>年額</t>
    <rPh sb="0" eb="2">
      <t>ネンガク</t>
    </rPh>
    <phoneticPr fontId="2"/>
  </si>
  <si>
    <t>以上</t>
    <rPh sb="0" eb="2">
      <t>イジョウ</t>
    </rPh>
    <phoneticPr fontId="2"/>
  </si>
  <si>
    <t>以下</t>
    <rPh sb="0" eb="2">
      <t>イカ</t>
    </rPh>
    <phoneticPr fontId="2"/>
  </si>
  <si>
    <t>控除額</t>
    <rPh sb="0" eb="2">
      <t>コウジョ</t>
    </rPh>
    <rPh sb="2" eb="3">
      <t>ガク</t>
    </rPh>
    <phoneticPr fontId="2"/>
  </si>
  <si>
    <t>給与収入</t>
    <rPh sb="0" eb="2">
      <t>キュウヨ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</si>
  <si>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</si>
  <si>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税率</t>
    <rPh sb="0" eb="2">
      <t>ゼイリツ</t>
    </rPh>
    <phoneticPr fontId="2"/>
  </si>
  <si>
    <t>左以外の所得</t>
    <rPh sb="0" eb="1">
      <t>ヒダリ</t>
    </rPh>
    <rPh sb="1" eb="3">
      <t>イガイ</t>
    </rPh>
    <rPh sb="4" eb="6">
      <t>ショトク</t>
    </rPh>
    <phoneticPr fontId="2"/>
  </si>
  <si>
    <t>合計所得</t>
    <rPh sb="0" eb="2">
      <t>ゴウケイ</t>
    </rPh>
    <rPh sb="2" eb="4">
      <t>ショトク</t>
    </rPh>
    <phoneticPr fontId="2"/>
  </si>
  <si>
    <t>※ あくまで試算です。実際の課税額とは異なることがあります。</t>
    <phoneticPr fontId="2"/>
  </si>
  <si>
    <t>※ 聞き取りした所得等を用いた試算ですので，実際の申告額が聞き取り額と大幅に異なる場合は，課税額も大幅に異なります。</t>
    <rPh sb="12" eb="13">
      <t>モチ</t>
    </rPh>
    <rPh sb="22" eb="24">
      <t>ジッサイ</t>
    </rPh>
    <rPh sb="35" eb="37">
      <t>オオハバ</t>
    </rPh>
    <rPh sb="49" eb="51">
      <t>オオハバ</t>
    </rPh>
    <rPh sb="52" eb="53">
      <t>コト</t>
    </rPh>
    <phoneticPr fontId="2"/>
  </si>
  <si>
    <t>　　申告書の写しを持参するなど，具体的な所得をお伝えください。試算結果についての責任は負いかねますので，ご了承願います。</t>
    <rPh sb="2" eb="5">
      <t>シンコクショ</t>
    </rPh>
    <rPh sb="6" eb="7">
      <t>ウツ</t>
    </rPh>
    <rPh sb="9" eb="11">
      <t>ジサン</t>
    </rPh>
    <rPh sb="16" eb="19">
      <t>グタイテキ</t>
    </rPh>
    <rPh sb="20" eb="22">
      <t>ショトク</t>
    </rPh>
    <rPh sb="24" eb="25">
      <t>ツタ</t>
    </rPh>
    <rPh sb="53" eb="55">
      <t>リョウショウ</t>
    </rPh>
    <rPh sb="55" eb="56">
      <t>ネガ</t>
    </rPh>
    <phoneticPr fontId="2"/>
  </si>
  <si>
    <t>給与・年金所得</t>
    <rPh sb="0" eb="2">
      <t>キュウヨ</t>
    </rPh>
    <rPh sb="3" eb="5">
      <t>ネンキン</t>
    </rPh>
    <rPh sb="5" eb="7">
      <t>ショトク</t>
    </rPh>
    <phoneticPr fontId="2"/>
  </si>
  <si>
    <t>医療分</t>
    <rPh sb="0" eb="3">
      <t>イリョウブン</t>
    </rPh>
    <phoneticPr fontId="2"/>
  </si>
  <si>
    <t>後期高齢者支援分</t>
    <rPh sb="0" eb="5">
      <t>コウキコウレイシャ</t>
    </rPh>
    <rPh sb="5" eb="8">
      <t>シエンブン</t>
    </rPh>
    <phoneticPr fontId="2"/>
  </si>
  <si>
    <t>介護分</t>
    <rPh sb="0" eb="2">
      <t>カイゴ</t>
    </rPh>
    <rPh sb="2" eb="3">
      <t>ブン</t>
    </rPh>
    <phoneticPr fontId="2"/>
  </si>
  <si>
    <t>世帯人数チェック</t>
    <rPh sb="0" eb="4">
      <t>セタイニンズウ</t>
    </rPh>
    <phoneticPr fontId="2"/>
  </si>
  <si>
    <t>　</t>
    <phoneticPr fontId="2"/>
  </si>
  <si>
    <t>課税割合</t>
    <rPh sb="0" eb="2">
      <t>カゼイ</t>
    </rPh>
    <rPh sb="2" eb="4">
      <t>ワリアイ</t>
    </rPh>
    <phoneticPr fontId="2"/>
  </si>
  <si>
    <t>こどもチェック</t>
    <phoneticPr fontId="2"/>
  </si>
  <si>
    <t>こども分</t>
    <rPh sb="3" eb="4">
      <t>ブン</t>
    </rPh>
    <phoneticPr fontId="2"/>
  </si>
  <si>
    <t>18歳以上均等割</t>
    <rPh sb="2" eb="8">
      <t>サイイジョウキントウワリ</t>
    </rPh>
    <phoneticPr fontId="2"/>
  </si>
  <si>
    <t>※必要なピンクのところを入力してください。</t>
    <rPh sb="1" eb="3">
      <t>ヒツヨウ</t>
    </rPh>
    <rPh sb="12" eb="1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</si>
</sst>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0.0%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0"/>
      <name val="HG丸ｺﾞｼｯｸM-PRO"/>
      <family val="3"/>
      <charset val="128"/>
    </font>
    <font>
      <sz val="12"/>
      <name val="HGS創英角ﾎﾟｯﾌﾟ体"/>
      <family val="3"/>
      <charset val="128"/>
    </font>
    <font>
      <sz val="11"/>
      <color indexed="9"/>
      <name val="HG丸ｺﾞｼｯｸM-PRO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14"/>
      <name val="HG丸ｺﾞｼｯｸM-PRO"/>
      <family val="3"/>
      <charset val="128"/>
    </font>
    <font>
      <b/>
      <sz val="11"/>
      <color indexed="14"/>
      <name val="ＭＳ Ｐゴシック"/>
      <family val="3"/>
      <charset val="128"/>
    </font>
    <font>
      <sz val="11"/>
      <name val="HGP創英角ﾎﾟｯﾌﾟ体"/>
      <family val="3"/>
      <charset val="128"/>
    </font>
    <font>
      <sz val="11"/>
      <name val="HGSｺﾞｼｯｸE"/>
      <family val="3"/>
      <charset val="128"/>
    </font>
    <font>
      <sz val="10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4"/>
      <name val="HG丸ｺﾞｼｯｸM-PRO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38" fontId="7" fillId="0" borderId="0" xfId="0" applyNumberFormat="1" applyFont="1">
      <alignment vertical="center"/>
    </xf>
    <xf numFmtId="0" fontId="4" fillId="2" borderId="0" xfId="0" applyFont="1" applyFill="1">
      <alignment vertical="center"/>
    </xf>
    <xf numFmtId="176" fontId="0" fillId="2" borderId="0" xfId="0" applyNumberFormat="1" applyFill="1" applyBorder="1" applyAlignment="1">
      <alignment horizontal="center" vertical="center"/>
    </xf>
    <xf numFmtId="176" fontId="8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177" fontId="8" fillId="0" borderId="0" xfId="0" applyNumberFormat="1" applyFont="1" applyBorder="1">
      <alignment vertical="center"/>
    </xf>
    <xf numFmtId="176" fontId="10" fillId="0" borderId="0" xfId="0" applyNumberFormat="1" applyFont="1" applyBorder="1">
      <alignment vertical="center"/>
    </xf>
    <xf numFmtId="38" fontId="0" fillId="0" borderId="0" xfId="1" applyFont="1">
      <alignment vertical="center"/>
    </xf>
    <xf numFmtId="38" fontId="12" fillId="3" borderId="0" xfId="1" applyFont="1" applyFill="1">
      <alignment vertical="center"/>
    </xf>
    <xf numFmtId="0" fontId="1" fillId="0" borderId="3" xfId="0" applyFont="1" applyBorder="1">
      <alignment vertical="center"/>
    </xf>
    <xf numFmtId="0" fontId="14" fillId="0" borderId="2" xfId="0" applyFont="1" applyBorder="1">
      <alignment vertical="center"/>
    </xf>
    <xf numFmtId="38" fontId="1" fillId="0" borderId="0" xfId="1" applyFont="1">
      <alignment vertical="center"/>
    </xf>
    <xf numFmtId="0" fontId="8" fillId="0" borderId="0" xfId="0" applyFont="1">
      <alignment vertical="center"/>
    </xf>
    <xf numFmtId="38" fontId="5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38" fontId="1" fillId="4" borderId="4" xfId="1" applyFont="1" applyFill="1" applyBorder="1">
      <alignment vertical="center"/>
    </xf>
    <xf numFmtId="38" fontId="12" fillId="4" borderId="0" xfId="1" applyFont="1" applyFill="1">
      <alignment vertical="center"/>
    </xf>
    <xf numFmtId="0" fontId="0" fillId="0" borderId="0" xfId="0" applyFont="1">
      <alignment vertical="center"/>
    </xf>
    <xf numFmtId="0" fontId="14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4" borderId="1" xfId="0" applyFont="1" applyFill="1" applyBorder="1">
      <alignment vertical="center"/>
    </xf>
    <xf numFmtId="38" fontId="0" fillId="4" borderId="1" xfId="1" applyFont="1" applyFill="1" applyBorder="1">
      <alignment vertical="center"/>
    </xf>
    <xf numFmtId="0" fontId="17" fillId="0" borderId="0" xfId="0" applyFont="1">
      <alignment vertical="center"/>
    </xf>
    <xf numFmtId="38" fontId="14" fillId="0" borderId="0" xfId="0" applyNumberFormat="1" applyFont="1">
      <alignment vertical="center"/>
    </xf>
    <xf numFmtId="38" fontId="14" fillId="0" borderId="5" xfId="1" applyFont="1" applyBorder="1">
      <alignment vertical="center"/>
    </xf>
    <xf numFmtId="38" fontId="14" fillId="0" borderId="6" xfId="1" applyFont="1" applyBorder="1">
      <alignment vertical="center"/>
    </xf>
    <xf numFmtId="38" fontId="14" fillId="0" borderId="12" xfId="1" applyFont="1" applyBorder="1">
      <alignment vertical="center"/>
    </xf>
    <xf numFmtId="38" fontId="14" fillId="0" borderId="7" xfId="1" applyFont="1" applyBorder="1" applyAlignment="1">
      <alignment horizontal="right" vertical="center"/>
    </xf>
    <xf numFmtId="38" fontId="14" fillId="0" borderId="14" xfId="1" applyFont="1" applyBorder="1">
      <alignment vertical="center"/>
    </xf>
    <xf numFmtId="38" fontId="14" fillId="0" borderId="15" xfId="1" applyFont="1" applyBorder="1">
      <alignment vertical="center"/>
    </xf>
    <xf numFmtId="38" fontId="14" fillId="0" borderId="25" xfId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38" fontId="17" fillId="0" borderId="0" xfId="0" applyNumberFormat="1" applyFont="1">
      <alignment vertical="center"/>
    </xf>
    <xf numFmtId="38" fontId="18" fillId="0" borderId="0" xfId="0" applyNumberFormat="1" applyFont="1">
      <alignment vertical="center"/>
    </xf>
    <xf numFmtId="38" fontId="19" fillId="0" borderId="0" xfId="0" applyNumberFormat="1" applyFont="1">
      <alignment vertical="center"/>
    </xf>
    <xf numFmtId="38" fontId="14" fillId="0" borderId="26" xfId="0" applyNumberFormat="1" applyFont="1" applyBorder="1">
      <alignment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Border="1">
      <alignment vertical="center"/>
    </xf>
    <xf numFmtId="0" fontId="1" fillId="0" borderId="0" xfId="0" applyFont="1" applyBorder="1">
      <alignment vertical="center"/>
    </xf>
    <xf numFmtId="38" fontId="1" fillId="0" borderId="0" xfId="1" applyFont="1" applyFill="1" applyBorder="1">
      <alignment vertical="center"/>
    </xf>
    <xf numFmtId="0" fontId="20" fillId="4" borderId="1" xfId="0" applyFont="1" applyFill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38" fontId="15" fillId="5" borderId="0" xfId="1" applyFont="1" applyFill="1">
      <alignment vertical="center"/>
    </xf>
    <xf numFmtId="38" fontId="0" fillId="0" borderId="0" xfId="0" applyNumberFormat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1" fillId="0" borderId="0" xfId="1" applyFont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1" fillId="0" borderId="0" xfId="1" applyNumberFormat="1" applyFont="1" applyAlignment="1">
      <alignment vertical="center"/>
    </xf>
    <xf numFmtId="38" fontId="14" fillId="0" borderId="0" xfId="0" applyNumberFormat="1" applyFont="1" applyBorder="1">
      <alignment vertical="center"/>
    </xf>
    <xf numFmtId="0" fontId="21" fillId="0" borderId="0" xfId="0" applyFont="1">
      <alignment vertical="center"/>
    </xf>
    <xf numFmtId="178" fontId="15" fillId="5" borderId="0" xfId="2" applyNumberFormat="1" applyFont="1" applyFill="1">
      <alignment vertical="center"/>
    </xf>
    <xf numFmtId="38" fontId="14" fillId="0" borderId="11" xfId="1" applyFont="1" applyBorder="1">
      <alignment vertical="center"/>
    </xf>
    <xf numFmtId="38" fontId="14" fillId="0" borderId="13" xfId="1" applyFont="1" applyBorder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5" fillId="0" borderId="0" xfId="0" applyFont="1" applyFill="1">
      <alignment vertical="center"/>
    </xf>
    <xf numFmtId="38" fontId="15" fillId="0" borderId="0" xfId="1" applyFont="1" applyFill="1">
      <alignment vertical="center"/>
    </xf>
    <xf numFmtId="178" fontId="15" fillId="0" borderId="0" xfId="2" applyNumberFormat="1" applyFont="1" applyFill="1">
      <alignment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8" fontId="22" fillId="0" borderId="0" xfId="1" applyFont="1" applyAlignment="1">
      <alignment horizontal="center" vertical="center"/>
    </xf>
    <xf numFmtId="0" fontId="22" fillId="0" borderId="0" xfId="0" applyFont="1">
      <alignment vertical="center"/>
    </xf>
    <xf numFmtId="0" fontId="0" fillId="0" borderId="1" xfId="0" applyFont="1" applyFill="1" applyBorder="1" applyAlignment="1">
      <alignment vertical="center" shrinkToFit="1"/>
    </xf>
    <xf numFmtId="10" fontId="15" fillId="5" borderId="0" xfId="2" applyNumberFormat="1" applyFont="1" applyFill="1">
      <alignment vertical="center"/>
    </xf>
    <xf numFmtId="38" fontId="14" fillId="0" borderId="29" xfId="1" applyFont="1" applyBorder="1" applyAlignment="1">
      <alignment horizontal="right" vertical="center"/>
    </xf>
    <xf numFmtId="38" fontId="14" fillId="0" borderId="30" xfId="1" applyFont="1" applyBorder="1" applyAlignment="1">
      <alignment horizontal="right" vertical="center"/>
    </xf>
    <xf numFmtId="0" fontId="14" fillId="0" borderId="28" xfId="0" applyFont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2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7"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CAF2D-BC22-412E-B002-64876BF80513}">
  <sheetPr>
    <pageSetUpPr fitToPage="1"/>
  </sheetPr>
  <dimension ref="B2:W57"/>
  <sheetViews>
    <sheetView tabSelected="1" zoomScale="80" zoomScaleNormal="80" zoomScalePageLayoutView="85" workbookViewId="0">
      <selection activeCell="A28" sqref="A28:XFD54"/>
    </sheetView>
  </sheetViews>
  <sheetFormatPr defaultRowHeight="15" customHeight="1"/>
  <cols>
    <col min="1" max="1" width="8.25" style="1" customWidth="1"/>
    <col min="2" max="2" width="3.75" style="1" bestFit="1" customWidth="1"/>
    <col min="3" max="3" width="14.375" style="1" customWidth="1"/>
    <col min="4" max="4" width="5.375" style="1" bestFit="1" customWidth="1"/>
    <col min="5" max="7" width="12.625" style="1" customWidth="1"/>
    <col min="8" max="8" width="9.25" style="1" bestFit="1" customWidth="1"/>
    <col min="9" max="9" width="2.5" style="1" customWidth="1"/>
    <col min="10" max="10" width="5" style="4" bestFit="1" customWidth="1"/>
    <col min="11" max="19" width="10.625" style="4" customWidth="1"/>
    <col min="20" max="20" width="10.625" style="1" customWidth="1"/>
    <col min="21" max="23" width="18.375" style="1" hidden="1" customWidth="1"/>
    <col min="24" max="16384" width="9" style="1"/>
  </cols>
  <sheetData>
    <row r="2" spans="2:23" s="2" customFormat="1" ht="15" customHeight="1">
      <c r="B2" s="5"/>
      <c r="C2" s="91" t="s">
        <v>37</v>
      </c>
      <c r="D2" s="91"/>
      <c r="E2" s="91"/>
      <c r="F2" s="91"/>
      <c r="G2" s="91"/>
      <c r="H2" s="5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2:23" s="2" customFormat="1" ht="15" customHeight="1">
      <c r="B3" s="5"/>
      <c r="C3" s="91"/>
      <c r="D3" s="91"/>
      <c r="E3" s="91"/>
      <c r="F3" s="91"/>
      <c r="G3" s="91"/>
      <c r="H3" s="5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2:23" s="2" customFormat="1" ht="15" customHeight="1">
      <c r="B4" s="5"/>
      <c r="C4" s="5"/>
      <c r="D4" s="5"/>
      <c r="E4" s="5"/>
      <c r="F4" s="5"/>
      <c r="G4" s="5"/>
      <c r="H4" s="5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2:23" s="2" customFormat="1" ht="15" customHeight="1">
      <c r="B5" s="5"/>
      <c r="C5" s="5"/>
      <c r="D5" s="5"/>
      <c r="E5" s="5"/>
      <c r="F5" s="5"/>
      <c r="G5" s="5"/>
      <c r="H5" s="5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2:23" s="2" customFormat="1" ht="15" customHeight="1">
      <c r="B6" s="5"/>
      <c r="C6" s="5"/>
      <c r="D6" s="5"/>
      <c r="E6" s="5"/>
      <c r="F6" s="5"/>
      <c r="G6" s="5"/>
      <c r="H6" s="5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2:23" s="2" customFormat="1" ht="15" customHeight="1">
      <c r="B7" s="5"/>
      <c r="C7" s="51"/>
      <c r="D7" s="52"/>
      <c r="E7" s="52"/>
      <c r="F7" s="52"/>
      <c r="G7" s="52"/>
      <c r="H7" s="5"/>
      <c r="J7" s="20"/>
      <c r="K7" s="56" t="s">
        <v>15</v>
      </c>
      <c r="L7" s="56" t="s">
        <v>21</v>
      </c>
      <c r="M7" s="56" t="s">
        <v>15</v>
      </c>
      <c r="N7" s="56" t="s">
        <v>21</v>
      </c>
      <c r="O7" s="56" t="s">
        <v>15</v>
      </c>
      <c r="P7" s="56" t="s">
        <v>21</v>
      </c>
      <c r="Q7" s="56" t="s">
        <v>15</v>
      </c>
      <c r="R7" s="56" t="s">
        <v>15</v>
      </c>
      <c r="S7" s="56" t="s">
        <v>21</v>
      </c>
    </row>
    <row r="8" spans="2:23" s="2" customFormat="1" ht="15" customHeight="1">
      <c r="B8" s="5"/>
      <c r="C8" s="16" t="s">
        <v>11</v>
      </c>
      <c r="D8" s="15"/>
      <c r="E8" s="15"/>
      <c r="F8" s="15"/>
      <c r="G8" s="22"/>
      <c r="H8" s="5"/>
      <c r="J8" s="20"/>
      <c r="K8" s="57">
        <v>43000</v>
      </c>
      <c r="L8" s="68">
        <v>7.6999999999999999E-2</v>
      </c>
      <c r="M8" s="57">
        <v>18000</v>
      </c>
      <c r="N8" s="68">
        <v>3.2000000000000001E-2</v>
      </c>
      <c r="O8" s="57">
        <v>19000</v>
      </c>
      <c r="P8" s="68">
        <v>2.7E-2</v>
      </c>
      <c r="Q8" s="57">
        <v>1600</v>
      </c>
      <c r="R8" s="57">
        <v>200</v>
      </c>
      <c r="S8" s="81">
        <v>2.5000000000000001E-3</v>
      </c>
    </row>
    <row r="9" spans="2:23" s="2" customFormat="1" ht="15" customHeight="1">
      <c r="B9" s="5"/>
      <c r="C9" s="51"/>
      <c r="D9" s="52"/>
      <c r="E9" s="52"/>
      <c r="F9" s="52"/>
      <c r="G9" s="53"/>
      <c r="H9" s="71"/>
      <c r="I9" s="72"/>
      <c r="J9" s="73"/>
      <c r="K9" s="74"/>
      <c r="L9" s="75"/>
      <c r="M9" s="74"/>
      <c r="N9" s="75"/>
      <c r="O9" s="74"/>
      <c r="P9" s="75"/>
      <c r="Q9" s="74"/>
      <c r="R9" s="74"/>
      <c r="S9" s="75"/>
    </row>
    <row r="10" spans="2:23" s="2" customFormat="1" ht="15" customHeight="1"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2:23" s="2" customFormat="1" ht="15" customHeight="1">
      <c r="B11" s="24"/>
      <c r="C11" s="24"/>
      <c r="D11" s="24"/>
      <c r="E11" s="24"/>
      <c r="F11" s="24"/>
      <c r="G11" s="24"/>
      <c r="H11" s="24"/>
      <c r="I11" s="24"/>
      <c r="J11" s="92" t="s">
        <v>14</v>
      </c>
      <c r="K11" s="94" t="s">
        <v>28</v>
      </c>
      <c r="L11" s="95"/>
      <c r="M11" s="96" t="s">
        <v>29</v>
      </c>
      <c r="N11" s="88"/>
      <c r="O11" s="87" t="s">
        <v>30</v>
      </c>
      <c r="P11" s="88"/>
      <c r="Q11" s="87" t="s">
        <v>35</v>
      </c>
      <c r="R11" s="89"/>
      <c r="S11" s="88"/>
      <c r="T11" s="25"/>
    </row>
    <row r="12" spans="2:23" s="2" customFormat="1" ht="15" customHeight="1">
      <c r="B12"/>
      <c r="C12" s="26" t="s">
        <v>0</v>
      </c>
      <c r="D12" s="26" t="s">
        <v>2</v>
      </c>
      <c r="E12" s="63" t="s">
        <v>27</v>
      </c>
      <c r="F12" s="63" t="s">
        <v>22</v>
      </c>
      <c r="G12" s="26" t="s">
        <v>23</v>
      </c>
      <c r="H12" s="24"/>
      <c r="I12" s="24"/>
      <c r="J12" s="93"/>
      <c r="K12" s="28" t="s">
        <v>13</v>
      </c>
      <c r="L12" s="29" t="s">
        <v>12</v>
      </c>
      <c r="M12" s="27" t="s">
        <v>13</v>
      </c>
      <c r="N12" s="30" t="s">
        <v>12</v>
      </c>
      <c r="O12" s="31" t="s">
        <v>13</v>
      </c>
      <c r="P12" s="30" t="s">
        <v>12</v>
      </c>
      <c r="Q12" s="31" t="s">
        <v>13</v>
      </c>
      <c r="R12" s="84" t="s">
        <v>36</v>
      </c>
      <c r="S12" s="30" t="s">
        <v>12</v>
      </c>
      <c r="T12" s="25"/>
      <c r="U12" s="76" t="s">
        <v>34</v>
      </c>
      <c r="V12" s="76" t="s">
        <v>31</v>
      </c>
      <c r="W12" s="76" t="s">
        <v>33</v>
      </c>
    </row>
    <row r="13" spans="2:23" ht="24" customHeight="1">
      <c r="B13"/>
      <c r="C13" s="80"/>
      <c r="D13" s="33"/>
      <c r="E13" s="34"/>
      <c r="F13" s="34"/>
      <c r="G13" s="55">
        <f>SUM(E13:F13)</f>
        <v>0</v>
      </c>
      <c r="H13" s="85" t="str">
        <f>IF(D13="","",1)</f>
        <v/>
      </c>
      <c r="I13" s="35" t="str">
        <f>IF(AND(D13&gt;=40,D13&lt;65),1,"")</f>
        <v/>
      </c>
      <c r="J13" s="54">
        <v>12</v>
      </c>
      <c r="K13" s="37" t="str">
        <f t="shared" ref="K13:K23" si="0">IF(D13="","",IF($F$44="軽減外",$K$8*W13,IF($F$44="7割軽減",$K$8*0.3*W13,IF($F$44="5割軽減",$K$8*0.5*W13,IF($F$44="2割軽減",$K$8*0.8*W13,0))))*(J13/12))</f>
        <v/>
      </c>
      <c r="L13" s="38" t="str">
        <f t="shared" ref="L13:L23" si="1">IF(D13="","",IF(G13&lt;430000,0,IF(G13=0,0,(G13-430000)*$L$8*(J13/12))))</f>
        <v/>
      </c>
      <c r="M13" s="69" t="str">
        <f t="shared" ref="M13:M23" si="2">IF(D13="","",IF($F$44="軽減外",$M$8*W13,IF($F$44="7割軽減",$M$8*0.3*W13,IF($F$44="5割軽減",$M$8*0.5*W13,IF($F$44="2割軽減",$M$8*0.8*W13,0))))*(J13/12))</f>
        <v/>
      </c>
      <c r="N13" s="39" t="str">
        <f>IF(D13="","",IF(G13&lt;430000,0,IF(G13=0,0,(G13-430000)*$N$8*(J13/12))))</f>
        <v/>
      </c>
      <c r="O13" s="40" t="str">
        <f>IF(D13="","",IF(D13&lt;40,0,IF(D13&gt;64,0,IF($F$44="軽減外",$O$8,IF($F$44="7割軽減",$O$8*0.3,IF($F$44="5割軽減",$O$8*0.5,IF($F$44="2割軽減",$O$8*0.8,0))))*(J13/12))))</f>
        <v/>
      </c>
      <c r="P13" s="39" t="str">
        <f>IF(D13="","",IF(D13&lt;40,0,IF(D13&gt;=65,0,IF(G13&lt;430000,0,IF(D13&lt;40,"",(G13-430000)*$P$8*(J13/12))))))</f>
        <v/>
      </c>
      <c r="Q13" s="40" t="str">
        <f>IF(D13="","",IF(D13&lt;19,0,IF($F$44="軽減外",$Q$8,IF($F$44="7割軽減",$Q$8*0.3,IF($F$44="5割軽減",$Q$8*0.5,IF($F$44="2割軽減",$Q$8*0.8,0))))*(J13/12)))</f>
        <v/>
      </c>
      <c r="R13" s="82" t="str">
        <f>IF(D13="","",IF(D13&lt;19,0,IF($F$44="軽減外",$R$8,IF($F$44="7割軽減",$R$8*0.3,IF($F$44="5割軽減",$R$8*0.5,IF($F$44="2割軽減",$R$8*0.8,0))))*(J13/12)))</f>
        <v/>
      </c>
      <c r="S13" s="39" t="str">
        <f>IF(D13="","",IF(G13&lt;430000,0,IF(G13=0,0,(G13-430000)*$S$8*(J13/12))))</f>
        <v/>
      </c>
      <c r="T13" s="36">
        <f>SUM(K13:S13)</f>
        <v>0</v>
      </c>
      <c r="U13" s="77" t="str">
        <f t="shared" ref="U13:U23" si="3">IF(D13="","",IF(D13&lt;=18,"こども",IF(D13&gt;18,"大人","")))</f>
        <v/>
      </c>
      <c r="V13" s="78">
        <f>IF(U13="",0,1)</f>
        <v>0</v>
      </c>
      <c r="W13" s="79">
        <f>IF(U13="こども",0.5,1)</f>
        <v>1</v>
      </c>
    </row>
    <row r="14" spans="2:23" s="2" customFormat="1" ht="24" customHeight="1">
      <c r="B14"/>
      <c r="C14" s="32"/>
      <c r="D14" s="33"/>
      <c r="E14" s="34"/>
      <c r="F14" s="34"/>
      <c r="G14" s="55">
        <f>SUM(E14:F14)</f>
        <v>0</v>
      </c>
      <c r="H14" s="85" t="str">
        <f>IF(D14="","",1)</f>
        <v/>
      </c>
      <c r="I14" s="35" t="str">
        <f>IF(AND(D14&gt;=40,D14&lt;65),1,"")</f>
        <v/>
      </c>
      <c r="J14" s="54">
        <v>12</v>
      </c>
      <c r="K14" s="37" t="str">
        <f t="shared" si="0"/>
        <v/>
      </c>
      <c r="L14" s="38" t="str">
        <f t="shared" si="1"/>
        <v/>
      </c>
      <c r="M14" s="69" t="str">
        <f t="shared" si="2"/>
        <v/>
      </c>
      <c r="N14" s="39" t="str">
        <f t="shared" ref="N14:N23" si="4">IF(D14="","",IF(G14&lt;430000,0,IF(G14=0,0,(G14-430000)*$N$8*(J14/12))))</f>
        <v/>
      </c>
      <c r="O14" s="40" t="str">
        <f t="shared" ref="O14:O23" si="5">IF(D14="","",IF(D14&lt;40,0,IF(D14&gt;64,0,IF($F$44="軽減外",$O$8,IF($F$44="7割軽減",$O$8*0.3,IF($F$44="5割軽減",$O$8*0.5,IF($F$44="2割軽減",$O$8*0.8,0))))*(J14/12))))</f>
        <v/>
      </c>
      <c r="P14" s="39" t="str">
        <f>IF(D14="","",IF(D14&lt;40,0,IF(D14&gt;=65,0,IF(G14&lt;430000,0,IF(D14&lt;40,"",(G14-430000)*$P$8*(J14/12))))))</f>
        <v/>
      </c>
      <c r="Q14" s="40" t="str">
        <f>IF(D14="","",IF(D14&lt;19,0,IF($F$44="軽減外",$Q$8,IF($F$44="7割軽減",$Q$8*0.3,IF($F$44="5割軽減",$Q$8*0.5,IF($F$44="2割軽減",$Q$8*0.8,0))))*(J14/12)))</f>
        <v/>
      </c>
      <c r="R14" s="82" t="str">
        <f>IF(D14="","",IF(D14&lt;19,0,IF($F$44="軽減外",$R$8,IF($F$44="7割軽減",$R$8*0.3,IF($F$44="5割軽減",$R$8*0.5,IF($F$44="2割軽減",$R$8*0.8,0))))*(J14/12)))</f>
        <v/>
      </c>
      <c r="S14" s="39" t="str">
        <f t="shared" ref="S14:S23" si="6">IF(D14="","",IF(G14&lt;430000,0,IF(G14=0,0,(G14-430000)*$S$8*(J14/12))))</f>
        <v/>
      </c>
      <c r="T14" s="36">
        <f t="shared" ref="T14:T23" si="7">SUM(K14:S14)</f>
        <v>0</v>
      </c>
      <c r="U14" s="77" t="str">
        <f t="shared" si="3"/>
        <v/>
      </c>
      <c r="V14" s="78">
        <f>IF(U14="",0,V13+1)</f>
        <v>0</v>
      </c>
      <c r="W14" s="79">
        <f>IF(U14="こども",0.5,1)</f>
        <v>1</v>
      </c>
    </row>
    <row r="15" spans="2:23" s="2" customFormat="1" ht="24" customHeight="1">
      <c r="B15"/>
      <c r="C15" s="32"/>
      <c r="D15" s="33"/>
      <c r="E15" s="34"/>
      <c r="F15" s="34"/>
      <c r="G15" s="55">
        <f t="shared" ref="G15:G20" si="8">SUM(E15:F15)</f>
        <v>0</v>
      </c>
      <c r="H15" s="85" t="str">
        <f t="shared" ref="H15:H23" si="9">IF(D15="","",1)</f>
        <v/>
      </c>
      <c r="I15" s="35" t="str">
        <f t="shared" ref="I15:I23" si="10">IF(AND(D15&gt;=40,D15&lt;65),1,"")</f>
        <v/>
      </c>
      <c r="J15" s="54">
        <v>12</v>
      </c>
      <c r="K15" s="37" t="str">
        <f t="shared" si="0"/>
        <v/>
      </c>
      <c r="L15" s="38" t="str">
        <f t="shared" si="1"/>
        <v/>
      </c>
      <c r="M15" s="69" t="str">
        <f t="shared" si="2"/>
        <v/>
      </c>
      <c r="N15" s="39" t="str">
        <f t="shared" si="4"/>
        <v/>
      </c>
      <c r="O15" s="40" t="str">
        <f>IF(D15="","",IF(D15&lt;40,0,IF(D15&gt;64,0,IF($F$44="軽減外",$O$8,IF($F$44="7割軽減",$O$8*0.3,IF($F$44="5割軽減",$O$8*0.5,IF($F$44="2割軽減",$O$8*0.8,0))))*(J15/12))))</f>
        <v/>
      </c>
      <c r="P15" s="39" t="str">
        <f>IF(D15="","",IF(D15&lt;40,0,IF(D15&gt;=65,0,IF(G15&lt;430000,0,IF(D15&lt;40,"",(G15-430000)*$P$8*(J15/12))))))</f>
        <v/>
      </c>
      <c r="Q15" s="40" t="str">
        <f>IF(D15="","",IF(D15&lt;19,0,IF($F$44="軽減外",$Q$8,IF($F$44="7割軽減",$Q$8*0.3,IF($F$44="5割軽減",$Q$8*0.5,IF($F$44="2割軽減",$Q$8*0.8,0))))*(J15/12)))</f>
        <v/>
      </c>
      <c r="R15" s="82" t="str">
        <f>IF(D15="","",IF(D15&lt;19,0,IF($F$44="軽減外",$R$8,IF($F$44="7割軽減",$R$8*0.3,IF($F$44="5割軽減",$R$8*0.5,IF($F$44="2割軽減",$R$8*0.8,0))))*(J15/12)))</f>
        <v/>
      </c>
      <c r="S15" s="39" t="str">
        <f t="shared" si="6"/>
        <v/>
      </c>
      <c r="T15" s="36">
        <f t="shared" si="7"/>
        <v>0</v>
      </c>
      <c r="U15" s="77" t="str">
        <f t="shared" si="3"/>
        <v/>
      </c>
      <c r="V15" s="78">
        <f t="shared" ref="V15:V23" si="11">IF(U15="",0,V14+1)</f>
        <v>0</v>
      </c>
      <c r="W15" s="79">
        <f t="shared" ref="W15" si="12">IF(U15="こども",0.5,1)</f>
        <v>1</v>
      </c>
    </row>
    <row r="16" spans="2:23" s="2" customFormat="1" ht="24" customHeight="1">
      <c r="B16"/>
      <c r="C16" s="32"/>
      <c r="D16" s="33"/>
      <c r="E16" s="34"/>
      <c r="F16" s="34"/>
      <c r="G16" s="55">
        <f t="shared" si="8"/>
        <v>0</v>
      </c>
      <c r="H16" s="85" t="str">
        <f t="shared" si="9"/>
        <v/>
      </c>
      <c r="I16" s="35" t="str">
        <f t="shared" si="10"/>
        <v/>
      </c>
      <c r="J16" s="54">
        <v>12</v>
      </c>
      <c r="K16" s="37" t="str">
        <f t="shared" si="0"/>
        <v/>
      </c>
      <c r="L16" s="38" t="str">
        <f t="shared" si="1"/>
        <v/>
      </c>
      <c r="M16" s="69" t="str">
        <f t="shared" si="2"/>
        <v/>
      </c>
      <c r="N16" s="39" t="str">
        <f t="shared" si="4"/>
        <v/>
      </c>
      <c r="O16" s="40" t="str">
        <f>IF(D16="","",IF(D16&lt;40,0,IF(D16&gt;64,0,IF($F$44="軽減外",$O$8,IF($F$44="7割軽減",$O$8*0.3,IF($F$44="5割軽減",$O$8*0.5,IF($F$44="2割軽減",$O$8*0.8,0))))*(J16/12))))</f>
        <v/>
      </c>
      <c r="P16" s="39" t="str">
        <f t="shared" ref="P16:P23" si="13">IF(D16="","",IF(D16&lt;40,0,IF(D16&gt;=65,0,IF(G16&lt;430000,0,IF(D16&lt;40,"",(G16-430000)*$P$8*(J16/12))))))</f>
        <v/>
      </c>
      <c r="Q16" s="40" t="str">
        <f t="shared" ref="Q16:Q22" si="14">IF(D16="","",IF(D16&lt;19,0,IF($F$44="軽減外",$Q$8,IF($F$44="7割軽減",$Q$8*0.3,IF($F$44="5割軽減",$Q$8*0.5,IF($F$44="2割軽減",$Q$8*0.8,0))))*(J16/12)))</f>
        <v/>
      </c>
      <c r="R16" s="82" t="str">
        <f t="shared" ref="R16:R22" si="15">IF(D16="","",IF(D16&lt;19,0,IF($F$44="軽減外",$R$8,IF($F$44="7割軽減",$R$8*0.3,IF($F$44="5割軽減",$R$8*0.5,IF($F$44="2割軽減",$R$8*0.8,0))))*(J16/12)))</f>
        <v/>
      </c>
      <c r="S16" s="39" t="str">
        <f t="shared" si="6"/>
        <v/>
      </c>
      <c r="T16" s="36">
        <f t="shared" si="7"/>
        <v>0</v>
      </c>
      <c r="U16" s="77" t="str">
        <f t="shared" si="3"/>
        <v/>
      </c>
      <c r="V16" s="78">
        <f t="shared" si="11"/>
        <v>0</v>
      </c>
      <c r="W16" s="79">
        <f>IF(U16="こども",0.35,0.85)</f>
        <v>0.85</v>
      </c>
    </row>
    <row r="17" spans="2:23" s="2" customFormat="1" ht="24" customHeight="1">
      <c r="B17"/>
      <c r="C17" s="32"/>
      <c r="D17" s="33"/>
      <c r="E17" s="34"/>
      <c r="F17" s="34"/>
      <c r="G17" s="55">
        <f t="shared" si="8"/>
        <v>0</v>
      </c>
      <c r="H17" s="85" t="str">
        <f t="shared" si="9"/>
        <v/>
      </c>
      <c r="I17" s="35" t="str">
        <f t="shared" si="10"/>
        <v/>
      </c>
      <c r="J17" s="54">
        <v>12</v>
      </c>
      <c r="K17" s="37" t="str">
        <f t="shared" si="0"/>
        <v/>
      </c>
      <c r="L17" s="38" t="str">
        <f t="shared" si="1"/>
        <v/>
      </c>
      <c r="M17" s="69" t="str">
        <f t="shared" si="2"/>
        <v/>
      </c>
      <c r="N17" s="39" t="str">
        <f>IF(D17="","",IF(G17&lt;430000,0,IF(G17=0,0,(G17-430000)*$N$8*(J17/12))))</f>
        <v/>
      </c>
      <c r="O17" s="40" t="str">
        <f t="shared" si="5"/>
        <v/>
      </c>
      <c r="P17" s="39" t="str">
        <f t="shared" si="13"/>
        <v/>
      </c>
      <c r="Q17" s="40" t="str">
        <f>IF(D17="","",IF(D17&lt;19,0,IF($F$44="軽減外",$Q$8,IF($F$44="7割軽減",$Q$8*0.3,IF($F$44="5割軽減",$Q$8*0.5,IF($F$44="2割軽減",$Q$8*0.8,0))))*(J17/12)))</f>
        <v/>
      </c>
      <c r="R17" s="82" t="str">
        <f>IF(D17="","",IF(D17&lt;19,0,IF($F$44="軽減外",$R$8,IF($F$44="7割軽減",$R$8*0.3,IF($F$44="5割軽減",$R$8*0.5,IF($F$44="2割軽減",$R$8*0.8,0))))*(J17/12)))</f>
        <v/>
      </c>
      <c r="S17" s="39" t="str">
        <f>IF(D17="","",IF(G17&lt;430000,0,IF(G17=0,0,(G17-430000)*$S$8*(J17/12))))</f>
        <v/>
      </c>
      <c r="T17" s="36">
        <f t="shared" si="7"/>
        <v>0</v>
      </c>
      <c r="U17" s="77" t="str">
        <f>IF(D17="","",IF(D17&lt;=18,"こども",IF(D17&gt;18,"大人","")))</f>
        <v/>
      </c>
      <c r="V17" s="78">
        <f t="shared" si="11"/>
        <v>0</v>
      </c>
      <c r="W17" s="79">
        <f>IF(U17="こども",0.35,0.85)</f>
        <v>0.85</v>
      </c>
    </row>
    <row r="18" spans="2:23" s="2" customFormat="1" ht="24" customHeight="1">
      <c r="B18"/>
      <c r="C18" s="32"/>
      <c r="D18" s="33"/>
      <c r="E18" s="34"/>
      <c r="F18" s="34"/>
      <c r="G18" s="55">
        <f t="shared" si="8"/>
        <v>0</v>
      </c>
      <c r="H18" s="85" t="str">
        <f t="shared" si="9"/>
        <v/>
      </c>
      <c r="I18" s="35" t="str">
        <f t="shared" si="10"/>
        <v/>
      </c>
      <c r="J18" s="54">
        <v>12</v>
      </c>
      <c r="K18" s="37" t="str">
        <f t="shared" si="0"/>
        <v/>
      </c>
      <c r="L18" s="38" t="str">
        <f t="shared" si="1"/>
        <v/>
      </c>
      <c r="M18" s="69" t="str">
        <f t="shared" si="2"/>
        <v/>
      </c>
      <c r="N18" s="39" t="str">
        <f t="shared" si="4"/>
        <v/>
      </c>
      <c r="O18" s="40" t="str">
        <f t="shared" si="5"/>
        <v/>
      </c>
      <c r="P18" s="39" t="str">
        <f t="shared" si="13"/>
        <v/>
      </c>
      <c r="Q18" s="40" t="str">
        <f t="shared" si="14"/>
        <v/>
      </c>
      <c r="R18" s="82" t="str">
        <f t="shared" si="15"/>
        <v/>
      </c>
      <c r="S18" s="39" t="str">
        <f t="shared" si="6"/>
        <v/>
      </c>
      <c r="T18" s="36">
        <f t="shared" si="7"/>
        <v>0</v>
      </c>
      <c r="U18" s="77" t="str">
        <f t="shared" si="3"/>
        <v/>
      </c>
      <c r="V18" s="78">
        <f t="shared" si="11"/>
        <v>0</v>
      </c>
      <c r="W18" s="79">
        <f t="shared" ref="W18:W23" si="16">IF(U18="こども",0.35,0.85)</f>
        <v>0.85</v>
      </c>
    </row>
    <row r="19" spans="2:23" s="2" customFormat="1" ht="24" customHeight="1">
      <c r="B19"/>
      <c r="C19" s="32"/>
      <c r="D19" s="33"/>
      <c r="E19" s="34"/>
      <c r="F19" s="34"/>
      <c r="G19" s="55">
        <f t="shared" si="8"/>
        <v>0</v>
      </c>
      <c r="H19" s="35" t="str">
        <f t="shared" si="9"/>
        <v/>
      </c>
      <c r="I19" s="35" t="str">
        <f t="shared" si="10"/>
        <v/>
      </c>
      <c r="J19" s="54">
        <v>12</v>
      </c>
      <c r="K19" s="37" t="str">
        <f t="shared" si="0"/>
        <v/>
      </c>
      <c r="L19" s="38" t="str">
        <f t="shared" si="1"/>
        <v/>
      </c>
      <c r="M19" s="69" t="str">
        <f t="shared" si="2"/>
        <v/>
      </c>
      <c r="N19" s="39" t="str">
        <f t="shared" si="4"/>
        <v/>
      </c>
      <c r="O19" s="40" t="str">
        <f t="shared" si="5"/>
        <v/>
      </c>
      <c r="P19" s="39" t="str">
        <f t="shared" si="13"/>
        <v/>
      </c>
      <c r="Q19" s="40" t="str">
        <f t="shared" si="14"/>
        <v/>
      </c>
      <c r="R19" s="82" t="str">
        <f t="shared" si="15"/>
        <v/>
      </c>
      <c r="S19" s="39" t="str">
        <f t="shared" si="6"/>
        <v/>
      </c>
      <c r="T19" s="36">
        <f t="shared" si="7"/>
        <v>0</v>
      </c>
      <c r="U19" s="77" t="str">
        <f t="shared" si="3"/>
        <v/>
      </c>
      <c r="V19" s="78">
        <f t="shared" si="11"/>
        <v>0</v>
      </c>
      <c r="W19" s="79">
        <f t="shared" si="16"/>
        <v>0.85</v>
      </c>
    </row>
    <row r="20" spans="2:23" s="2" customFormat="1" ht="24" customHeight="1">
      <c r="B20"/>
      <c r="C20" s="32"/>
      <c r="D20" s="33"/>
      <c r="E20" s="34"/>
      <c r="F20" s="34"/>
      <c r="G20" s="55">
        <f t="shared" si="8"/>
        <v>0</v>
      </c>
      <c r="H20" s="35" t="str">
        <f t="shared" si="9"/>
        <v/>
      </c>
      <c r="I20" s="35" t="str">
        <f t="shared" si="10"/>
        <v/>
      </c>
      <c r="J20" s="54">
        <v>12</v>
      </c>
      <c r="K20" s="37" t="str">
        <f t="shared" si="0"/>
        <v/>
      </c>
      <c r="L20" s="38" t="str">
        <f t="shared" si="1"/>
        <v/>
      </c>
      <c r="M20" s="69" t="str">
        <f t="shared" si="2"/>
        <v/>
      </c>
      <c r="N20" s="39" t="str">
        <f t="shared" si="4"/>
        <v/>
      </c>
      <c r="O20" s="40" t="str">
        <f t="shared" si="5"/>
        <v/>
      </c>
      <c r="P20" s="39" t="str">
        <f t="shared" si="13"/>
        <v/>
      </c>
      <c r="Q20" s="40" t="str">
        <f t="shared" si="14"/>
        <v/>
      </c>
      <c r="R20" s="82" t="str">
        <f t="shared" si="15"/>
        <v/>
      </c>
      <c r="S20" s="39" t="str">
        <f t="shared" si="6"/>
        <v/>
      </c>
      <c r="T20" s="36">
        <f t="shared" si="7"/>
        <v>0</v>
      </c>
      <c r="U20" s="77" t="str">
        <f t="shared" si="3"/>
        <v/>
      </c>
      <c r="V20" s="78">
        <f t="shared" si="11"/>
        <v>0</v>
      </c>
      <c r="W20" s="79">
        <f t="shared" si="16"/>
        <v>0.85</v>
      </c>
    </row>
    <row r="21" spans="2:23" s="2" customFormat="1" ht="24" customHeight="1">
      <c r="B21"/>
      <c r="C21" s="32"/>
      <c r="D21" s="33"/>
      <c r="E21" s="34"/>
      <c r="F21" s="34"/>
      <c r="G21" s="55">
        <f t="shared" ref="G21:G23" si="17">SUM(E21:F21)</f>
        <v>0</v>
      </c>
      <c r="H21" s="35" t="str">
        <f t="shared" si="9"/>
        <v/>
      </c>
      <c r="I21" s="35" t="str">
        <f t="shared" si="10"/>
        <v/>
      </c>
      <c r="J21" s="54">
        <v>12</v>
      </c>
      <c r="K21" s="37" t="str">
        <f t="shared" si="0"/>
        <v/>
      </c>
      <c r="L21" s="38" t="str">
        <f t="shared" si="1"/>
        <v/>
      </c>
      <c r="M21" s="69" t="str">
        <f t="shared" si="2"/>
        <v/>
      </c>
      <c r="N21" s="39" t="str">
        <f t="shared" si="4"/>
        <v/>
      </c>
      <c r="O21" s="40" t="str">
        <f t="shared" si="5"/>
        <v/>
      </c>
      <c r="P21" s="39" t="str">
        <f t="shared" si="13"/>
        <v/>
      </c>
      <c r="Q21" s="40" t="str">
        <f t="shared" si="14"/>
        <v/>
      </c>
      <c r="R21" s="82" t="str">
        <f t="shared" si="15"/>
        <v/>
      </c>
      <c r="S21" s="39" t="str">
        <f t="shared" si="6"/>
        <v/>
      </c>
      <c r="T21" s="36">
        <f t="shared" si="7"/>
        <v>0</v>
      </c>
      <c r="U21" s="77" t="str">
        <f t="shared" si="3"/>
        <v/>
      </c>
      <c r="V21" s="78">
        <f t="shared" si="11"/>
        <v>0</v>
      </c>
      <c r="W21" s="79">
        <f t="shared" si="16"/>
        <v>0.85</v>
      </c>
    </row>
    <row r="22" spans="2:23" s="2" customFormat="1" ht="24" customHeight="1">
      <c r="B22"/>
      <c r="C22" s="32"/>
      <c r="D22" s="33"/>
      <c r="E22" s="34"/>
      <c r="F22" s="34"/>
      <c r="G22" s="55">
        <f t="shared" si="17"/>
        <v>0</v>
      </c>
      <c r="H22" s="35" t="str">
        <f t="shared" si="9"/>
        <v/>
      </c>
      <c r="I22" s="35" t="str">
        <f t="shared" si="10"/>
        <v/>
      </c>
      <c r="J22" s="54">
        <v>12</v>
      </c>
      <c r="K22" s="37" t="str">
        <f t="shared" si="0"/>
        <v/>
      </c>
      <c r="L22" s="38" t="str">
        <f t="shared" si="1"/>
        <v/>
      </c>
      <c r="M22" s="69" t="str">
        <f t="shared" si="2"/>
        <v/>
      </c>
      <c r="N22" s="39" t="str">
        <f t="shared" si="4"/>
        <v/>
      </c>
      <c r="O22" s="40" t="str">
        <f t="shared" si="5"/>
        <v/>
      </c>
      <c r="P22" s="39" t="str">
        <f t="shared" si="13"/>
        <v/>
      </c>
      <c r="Q22" s="40" t="str">
        <f t="shared" si="14"/>
        <v/>
      </c>
      <c r="R22" s="82" t="str">
        <f t="shared" si="15"/>
        <v/>
      </c>
      <c r="S22" s="39" t="str">
        <f t="shared" si="6"/>
        <v/>
      </c>
      <c r="T22" s="36">
        <f t="shared" si="7"/>
        <v>0</v>
      </c>
      <c r="U22" s="77" t="str">
        <f t="shared" si="3"/>
        <v/>
      </c>
      <c r="V22" s="78">
        <f t="shared" si="11"/>
        <v>0</v>
      </c>
      <c r="W22" s="79">
        <f t="shared" si="16"/>
        <v>0.85</v>
      </c>
    </row>
    <row r="23" spans="2:23" s="2" customFormat="1" ht="24" customHeight="1">
      <c r="B23"/>
      <c r="C23" s="32"/>
      <c r="D23" s="33"/>
      <c r="E23" s="34"/>
      <c r="F23" s="34"/>
      <c r="G23" s="55">
        <f t="shared" si="17"/>
        <v>0</v>
      </c>
      <c r="H23" s="35" t="str">
        <f t="shared" si="9"/>
        <v/>
      </c>
      <c r="I23" s="35" t="str">
        <f t="shared" si="10"/>
        <v/>
      </c>
      <c r="J23" s="54">
        <v>12</v>
      </c>
      <c r="K23" s="41" t="str">
        <f t="shared" si="0"/>
        <v/>
      </c>
      <c r="L23" s="42" t="str">
        <f t="shared" si="1"/>
        <v/>
      </c>
      <c r="M23" s="70" t="str">
        <f t="shared" si="2"/>
        <v/>
      </c>
      <c r="N23" s="42" t="str">
        <f t="shared" si="4"/>
        <v/>
      </c>
      <c r="O23" s="43" t="str">
        <f t="shared" si="5"/>
        <v/>
      </c>
      <c r="P23" s="42" t="str">
        <f t="shared" si="13"/>
        <v/>
      </c>
      <c r="Q23" s="43" t="str">
        <f>IF(D23="","",IF(D23&lt;19,0,IF($F$44="軽減外",$Q$8,IF($F$44="7割軽減",$Q$8*0.3,IF($F$44="5割軽減",$Q$8*0.5,IF($F$44="2割軽減",$Q$8*0.8,0))))*(J23/12)))</f>
        <v/>
      </c>
      <c r="R23" s="83" t="str">
        <f>IF(D23="","",IF(D23&lt;19,0,IF($F$44="軽減外",$R$8,IF($F$44="7割軽減",$R$8*0.3,IF($F$44="5割軽減",$R$8*0.5,IF($F$44="2割軽減",$R$8*0.8,0))))*(J23/12)))</f>
        <v/>
      </c>
      <c r="S23" s="42" t="str">
        <f t="shared" si="6"/>
        <v/>
      </c>
      <c r="T23" s="36">
        <f t="shared" si="7"/>
        <v>0</v>
      </c>
      <c r="U23" s="77" t="str">
        <f t="shared" si="3"/>
        <v/>
      </c>
      <c r="V23" s="78">
        <f t="shared" si="11"/>
        <v>0</v>
      </c>
      <c r="W23" s="79">
        <f t="shared" si="16"/>
        <v>0.85</v>
      </c>
    </row>
    <row r="24" spans="2:23" ht="21" customHeight="1">
      <c r="B24" s="44"/>
      <c r="C24" s="24"/>
      <c r="D24" s="24"/>
      <c r="E24" s="58">
        <f>SUM(E13:E23)</f>
        <v>0</v>
      </c>
      <c r="F24" s="58">
        <f>SUM(F13:F23)</f>
        <v>0</v>
      </c>
      <c r="G24" s="58">
        <f>SUM(G13:G23)</f>
        <v>0</v>
      </c>
      <c r="H24" s="46">
        <f>SUM(H13:H23)</f>
        <v>0</v>
      </c>
      <c r="I24" s="45">
        <f>SUM(I13:I23)</f>
        <v>0</v>
      </c>
      <c r="J24" s="47"/>
      <c r="K24" s="36">
        <f t="shared" ref="K24:S24" si="18">SUM(K13:K23)</f>
        <v>0</v>
      </c>
      <c r="L24" s="36">
        <f t="shared" si="18"/>
        <v>0</v>
      </c>
      <c r="M24" s="36">
        <f t="shared" si="18"/>
        <v>0</v>
      </c>
      <c r="N24" s="36">
        <f t="shared" si="18"/>
        <v>0</v>
      </c>
      <c r="O24" s="36">
        <f t="shared" si="18"/>
        <v>0</v>
      </c>
      <c r="P24" s="36">
        <f t="shared" si="18"/>
        <v>0</v>
      </c>
      <c r="Q24" s="36">
        <f t="shared" si="18"/>
        <v>0</v>
      </c>
      <c r="R24" s="36">
        <f t="shared" si="18"/>
        <v>0</v>
      </c>
      <c r="S24" s="36">
        <f t="shared" si="18"/>
        <v>0</v>
      </c>
      <c r="T24" s="25"/>
    </row>
    <row r="25" spans="2:23" s="2" customFormat="1" ht="21" customHeight="1">
      <c r="B25" s="44"/>
      <c r="C25" s="24"/>
      <c r="D25" s="24"/>
      <c r="E25" s="46">
        <f>IF(COUNTIF(E13:E23,"&gt;0")=0,1,COUNTIF(E13:E23,"&gt;0"))</f>
        <v>1</v>
      </c>
      <c r="F25" s="45"/>
      <c r="G25" s="45"/>
      <c r="H25" s="46"/>
      <c r="I25" s="45"/>
      <c r="J25" s="47"/>
      <c r="K25" s="25"/>
      <c r="L25" s="36">
        <f>ROUNDDOWN(IF(SUM(K24:L24)&gt;670000,670000,SUM(K24:L24)),-2)</f>
        <v>0</v>
      </c>
      <c r="M25" s="36"/>
      <c r="N25" s="36">
        <f>ROUNDDOWN(IF(SUM(M24:N24)&gt;260000,260000,SUM(M24:N24)),-2)</f>
        <v>0</v>
      </c>
      <c r="O25" s="25"/>
      <c r="P25" s="36">
        <f>ROUNDDOWN(IF(SUM(O24:P24)&gt;170000,170000,SUM(O24:P24)),-2)</f>
        <v>0</v>
      </c>
      <c r="Q25" s="25"/>
      <c r="R25" s="25"/>
      <c r="S25" s="36">
        <f>ROUNDDOWN(IF(SUM(Q24:S24)&gt;30000,30000,SUM(Q24:S24)),-2)</f>
        <v>0</v>
      </c>
      <c r="T25" s="25"/>
    </row>
    <row r="26" spans="2:23" s="2" customFormat="1" ht="21" customHeight="1" thickBot="1">
      <c r="B26" s="44"/>
      <c r="C26" s="24"/>
      <c r="D26" s="24"/>
      <c r="E26" s="45"/>
      <c r="F26" s="45"/>
      <c r="G26" s="45"/>
      <c r="H26" s="46"/>
      <c r="I26" s="45"/>
      <c r="J26" s="47"/>
      <c r="K26" s="25"/>
      <c r="L26" s="25"/>
      <c r="M26" s="25"/>
      <c r="N26" s="25"/>
      <c r="O26" s="25"/>
      <c r="P26" s="36"/>
      <c r="Q26" s="25"/>
      <c r="R26" s="25"/>
      <c r="S26" s="36"/>
      <c r="T26" s="25"/>
    </row>
    <row r="27" spans="2:23" s="2" customFormat="1" ht="21" customHeight="1" thickBot="1">
      <c r="B27" s="44"/>
      <c r="C27" s="8" t="str">
        <f>F44</f>
        <v>7割軽減</v>
      </c>
      <c r="D27" s="7" t="s">
        <v>3</v>
      </c>
      <c r="E27" s="45"/>
      <c r="F27" s="45"/>
      <c r="G27" s="45"/>
      <c r="H27" s="46"/>
      <c r="I27" s="45"/>
      <c r="K27" s="25"/>
      <c r="L27" s="25"/>
      <c r="M27" s="25"/>
      <c r="N27" s="25"/>
      <c r="O27" s="86"/>
      <c r="P27" s="66"/>
      <c r="Q27" s="49"/>
      <c r="R27" s="49" t="s">
        <v>15</v>
      </c>
      <c r="S27" s="48">
        <f>+N25+P25+S25+L25</f>
        <v>0</v>
      </c>
      <c r="T27" s="25"/>
      <c r="U27" s="36"/>
    </row>
    <row r="28" spans="2:23" s="2" customFormat="1" ht="21" customHeight="1">
      <c r="B28" s="44"/>
      <c r="C28" s="24"/>
      <c r="D28" s="24"/>
      <c r="E28" s="45"/>
      <c r="F28" s="67" t="s">
        <v>24</v>
      </c>
      <c r="G28" s="25"/>
      <c r="H28" s="25"/>
      <c r="I28" s="25"/>
      <c r="J28" s="25"/>
      <c r="K28" s="49"/>
      <c r="L28" s="66"/>
      <c r="M28" s="25"/>
    </row>
    <row r="29" spans="2:23" s="2" customFormat="1" ht="21" hidden="1" customHeight="1">
      <c r="B29" s="44"/>
      <c r="C29" s="24"/>
      <c r="D29" s="24"/>
      <c r="E29" s="45"/>
      <c r="F29" s="67" t="s">
        <v>25</v>
      </c>
      <c r="G29" s="25"/>
      <c r="H29" s="25"/>
      <c r="I29" s="25"/>
      <c r="J29" s="25"/>
      <c r="K29" s="49"/>
      <c r="L29" s="66"/>
      <c r="M29" s="25"/>
    </row>
    <row r="30" spans="2:23" s="2" customFormat="1" ht="21" hidden="1" customHeight="1">
      <c r="B30" s="3"/>
      <c r="E30" s="6"/>
      <c r="F30" s="67" t="s">
        <v>26</v>
      </c>
      <c r="G30" s="20"/>
      <c r="H30" s="20"/>
      <c r="I30" s="20"/>
      <c r="J30" s="20"/>
      <c r="K30" s="20"/>
      <c r="L30" s="19"/>
      <c r="M30" s="20"/>
    </row>
    <row r="31" spans="2:23" s="2" customFormat="1" ht="15" hidden="1" customHeight="1">
      <c r="C31" s="90"/>
      <c r="D31" s="90"/>
      <c r="E31" s="90"/>
      <c r="F31" s="1"/>
      <c r="G31" s="1"/>
      <c r="H31" s="1"/>
      <c r="I31" s="1"/>
      <c r="J31" s="1"/>
      <c r="K31" s="4"/>
      <c r="L31" s="20"/>
      <c r="M31" s="20"/>
      <c r="N31" s="20"/>
      <c r="O31" s="20"/>
      <c r="P31" s="20"/>
      <c r="Q31" s="20"/>
      <c r="R31" s="20"/>
      <c r="S31" s="20"/>
      <c r="T31" s="19"/>
    </row>
    <row r="32" spans="2:23" s="2" customFormat="1" ht="15" hidden="1" customHeight="1">
      <c r="C32" s="90"/>
      <c r="D32" s="90"/>
      <c r="E32" s="90"/>
      <c r="F32" s="50" t="s">
        <v>19</v>
      </c>
      <c r="G32" s="50" t="s">
        <v>20</v>
      </c>
      <c r="H32" s="50"/>
      <c r="I32" s="1"/>
      <c r="J32" s="1"/>
      <c r="K32" s="4"/>
      <c r="L32" s="20"/>
      <c r="M32" s="20"/>
      <c r="N32" s="20"/>
      <c r="O32" s="20"/>
      <c r="P32" s="20"/>
      <c r="Q32" s="20"/>
      <c r="R32" s="20"/>
      <c r="S32" s="20"/>
      <c r="T32" s="19"/>
    </row>
    <row r="33" spans="3:20" s="2" customFormat="1" ht="15" hidden="1" customHeight="1">
      <c r="C33" s="90"/>
      <c r="D33" s="90"/>
      <c r="E33" s="90"/>
      <c r="F33" s="1"/>
      <c r="G33" s="1"/>
      <c r="H33" s="1"/>
      <c r="I33" s="1"/>
      <c r="J33" s="1"/>
      <c r="K33" s="4"/>
      <c r="L33" s="20"/>
      <c r="M33" s="20"/>
      <c r="N33" s="20"/>
      <c r="O33" s="20"/>
      <c r="P33" s="20"/>
      <c r="Q33" s="20"/>
      <c r="R33" s="20"/>
      <c r="S33" s="20"/>
      <c r="T33" s="19"/>
    </row>
    <row r="34" spans="3:20" ht="15" hidden="1" customHeight="1">
      <c r="C34" s="90"/>
      <c r="D34" s="90"/>
      <c r="E34" s="90"/>
      <c r="F34" s="23"/>
      <c r="G34" s="14">
        <f>VLOOKUP(F34,E47:J58,4,TRUE)</f>
        <v>0</v>
      </c>
      <c r="J34" s="1"/>
      <c r="T34" s="19"/>
    </row>
    <row r="35" spans="3:20" ht="15" hidden="1" customHeight="1">
      <c r="C35" s="90"/>
      <c r="D35" s="90"/>
      <c r="E35" s="90"/>
      <c r="J35" s="1"/>
      <c r="T35" s="19"/>
    </row>
    <row r="36" spans="3:20" ht="15" hidden="1" customHeight="1">
      <c r="J36" s="1"/>
      <c r="T36" s="19" t="s">
        <v>32</v>
      </c>
    </row>
    <row r="37" spans="3:20" ht="15" hidden="1" customHeight="1">
      <c r="C37" s="9" t="s">
        <v>4</v>
      </c>
      <c r="D37" s="9" t="s">
        <v>1</v>
      </c>
      <c r="E37" s="9"/>
      <c r="F37" s="9">
        <f>G24+G8</f>
        <v>0</v>
      </c>
      <c r="G37" s="9"/>
      <c r="H37" s="18"/>
      <c r="I37" s="10"/>
      <c r="J37" s="21"/>
      <c r="P37" s="19"/>
      <c r="S37" s="19"/>
    </row>
    <row r="38" spans="3:20" ht="15" hidden="1" customHeight="1">
      <c r="C38" s="9"/>
      <c r="D38" s="9" t="s">
        <v>5</v>
      </c>
      <c r="E38" s="9"/>
      <c r="F38" s="9">
        <f>H24</f>
        <v>0</v>
      </c>
      <c r="G38" s="9"/>
      <c r="H38" s="18"/>
      <c r="I38" s="10"/>
      <c r="J38" s="21"/>
    </row>
    <row r="39" spans="3:20" ht="15" hidden="1" customHeight="1">
      <c r="C39" s="9"/>
      <c r="D39" s="9" t="s">
        <v>6</v>
      </c>
      <c r="E39" s="9"/>
      <c r="F39" s="9">
        <f>430000+(100000*(E25-1))</f>
        <v>430000</v>
      </c>
      <c r="G39" s="9"/>
      <c r="H39" s="18"/>
      <c r="I39" s="10"/>
      <c r="J39" s="21"/>
    </row>
    <row r="40" spans="3:20" ht="15" hidden="1" customHeight="1">
      <c r="C40" s="9"/>
      <c r="D40" s="9" t="s">
        <v>7</v>
      </c>
      <c r="E40" s="9"/>
      <c r="F40" s="9">
        <f>IF(F38=0,0,F39+310000*F38)</f>
        <v>0</v>
      </c>
      <c r="G40" s="9"/>
      <c r="H40" s="18"/>
      <c r="I40" s="10"/>
      <c r="J40" s="21"/>
    </row>
    <row r="41" spans="3:20" ht="15" hidden="1" customHeight="1">
      <c r="C41" s="9"/>
      <c r="D41" s="18" t="s">
        <v>10</v>
      </c>
      <c r="E41" s="18"/>
      <c r="F41" s="9">
        <f>IF(F38=0,0,F39+570000*(F38))</f>
        <v>0</v>
      </c>
      <c r="G41" s="18"/>
      <c r="H41" s="18"/>
      <c r="I41" s="10"/>
      <c r="J41" s="21"/>
    </row>
    <row r="42" spans="3:20" ht="15" hidden="1" customHeight="1">
      <c r="C42" s="9"/>
      <c r="D42" s="9" t="s">
        <v>8</v>
      </c>
      <c r="E42" s="9"/>
      <c r="F42" s="11">
        <f>IF(F37&lt;=F39,0.7,IF(AND(F37&gt;F39,F37&lt;=F40),0.5,IF(AND(F37&gt;F40,F37&lt;=F41),0.2)))</f>
        <v>0.7</v>
      </c>
      <c r="G42" s="9"/>
      <c r="H42" s="12"/>
      <c r="I42" s="10"/>
      <c r="J42" s="21"/>
    </row>
    <row r="43" spans="3:20" ht="15" hidden="1" customHeight="1">
      <c r="C43" s="18"/>
      <c r="D43" s="9" t="s">
        <v>9</v>
      </c>
      <c r="E43" s="9"/>
      <c r="F43" s="11">
        <f>1-F42</f>
        <v>0.30000000000000004</v>
      </c>
      <c r="G43" s="9"/>
      <c r="H43" s="18"/>
      <c r="I43" s="10"/>
      <c r="J43" s="21"/>
    </row>
    <row r="44" spans="3:20" ht="15" hidden="1" customHeight="1">
      <c r="F44" s="62" t="str">
        <f>IF(F42=0.7,"7割軽減",IF(F42=0.5,"5割軽減",IF(F42=0.2,"2割軽減","軽減外")))</f>
        <v>7割軽減</v>
      </c>
    </row>
    <row r="45" spans="3:20" ht="15" hidden="1" customHeight="1"/>
    <row r="46" spans="3:20" ht="15" hidden="1" customHeight="1">
      <c r="C46" s="13"/>
      <c r="D46"/>
      <c r="E46" s="59" t="s">
        <v>16</v>
      </c>
      <c r="F46" s="59" t="s">
        <v>17</v>
      </c>
      <c r="G46" s="59" t="s">
        <v>18</v>
      </c>
      <c r="H46" s="64"/>
      <c r="I46" s="60"/>
      <c r="P46" s="1"/>
      <c r="S46" s="1"/>
    </row>
    <row r="47" spans="3:20" ht="15" hidden="1" customHeight="1">
      <c r="C47" s="13"/>
      <c r="D47"/>
      <c r="E47" s="17">
        <v>0</v>
      </c>
      <c r="F47" s="17">
        <v>650999</v>
      </c>
      <c r="G47" s="61"/>
      <c r="H47" s="61"/>
      <c r="I47" s="61"/>
      <c r="P47" s="1"/>
      <c r="S47" s="1"/>
    </row>
    <row r="48" spans="3:20" ht="15" hidden="1" customHeight="1">
      <c r="C48" s="13"/>
      <c r="D48"/>
      <c r="E48" s="17">
        <v>651000</v>
      </c>
      <c r="F48" s="17">
        <v>1899999</v>
      </c>
      <c r="G48" s="61">
        <f>650000</f>
        <v>650000</v>
      </c>
      <c r="H48" s="61">
        <f>ROUNDDOWN((F34-G48),0)</f>
        <v>-650000</v>
      </c>
      <c r="I48" s="61"/>
      <c r="P48" s="1"/>
      <c r="S48" s="1"/>
    </row>
    <row r="49" spans="3:19" ht="15" hidden="1" customHeight="1">
      <c r="C49" s="13"/>
      <c r="D49"/>
      <c r="E49" s="17">
        <v>1900000</v>
      </c>
      <c r="F49" s="17">
        <v>3599999</v>
      </c>
      <c r="G49" s="61"/>
      <c r="H49" s="61">
        <f>(ROUNDDOWN(F34/4,-3))*2.8-80000</f>
        <v>-80000</v>
      </c>
      <c r="I49" s="61"/>
      <c r="P49" s="1"/>
      <c r="S49" s="1"/>
    </row>
    <row r="50" spans="3:19" ht="15" hidden="1" customHeight="1">
      <c r="C50" s="13"/>
      <c r="D50"/>
      <c r="E50" s="17">
        <v>3600000</v>
      </c>
      <c r="F50" s="17">
        <v>6599999</v>
      </c>
      <c r="G50" s="61"/>
      <c r="H50" s="61">
        <f>(ROUNDDOWN(F34/4,-3))*3.2-440000</f>
        <v>-440000</v>
      </c>
      <c r="I50" s="61"/>
      <c r="P50" s="1"/>
      <c r="S50" s="1"/>
    </row>
    <row r="51" spans="3:19" ht="15" hidden="1" customHeight="1">
      <c r="C51" s="13"/>
      <c r="D51"/>
      <c r="E51" s="17">
        <v>6600000</v>
      </c>
      <c r="F51" s="17">
        <v>8500000</v>
      </c>
      <c r="G51" s="61"/>
      <c r="H51" s="65">
        <f>ROUNDDOWN((F34*0.9-1100000),0)</f>
        <v>-1100000</v>
      </c>
      <c r="I51" s="61"/>
      <c r="P51" s="1"/>
      <c r="S51" s="1"/>
    </row>
    <row r="52" spans="3:19" ht="15" hidden="1" customHeight="1">
      <c r="C52" s="13"/>
      <c r="D52"/>
      <c r="E52" s="17">
        <v>8500001</v>
      </c>
      <c r="F52" s="17">
        <v>999999999</v>
      </c>
      <c r="G52" s="61">
        <f>1950000</f>
        <v>1950000</v>
      </c>
      <c r="H52" s="65">
        <f>ROUNDDOWN((F34-G52),0)</f>
        <v>-1950000</v>
      </c>
      <c r="I52" s="61"/>
      <c r="P52" s="1"/>
      <c r="S52" s="1"/>
    </row>
    <row r="53" spans="3:19" ht="15" hidden="1" customHeight="1">
      <c r="C53" s="13"/>
      <c r="I53" s="61"/>
      <c r="P53" s="1"/>
      <c r="S53" s="1"/>
    </row>
    <row r="54" spans="3:19" ht="15" customHeight="1">
      <c r="C54" s="13"/>
      <c r="I54" s="61"/>
      <c r="P54" s="1"/>
      <c r="S54" s="1"/>
    </row>
    <row r="55" spans="3:19" ht="15" customHeight="1">
      <c r="C55" s="13"/>
      <c r="I55" s="61"/>
      <c r="P55" s="1"/>
      <c r="S55" s="1"/>
    </row>
    <row r="56" spans="3:19" ht="15" customHeight="1">
      <c r="C56" s="13"/>
      <c r="I56" s="61"/>
      <c r="P56" s="1"/>
      <c r="S56" s="1"/>
    </row>
    <row r="57" spans="3:19" ht="15" customHeight="1">
      <c r="C57" s="13"/>
      <c r="I57" s="61"/>
      <c r="P57" s="1"/>
      <c r="S57" s="1"/>
    </row>
  </sheetData>
  <sheetProtection password="E95E" sheet="1" objects="1" scenarios="1"/>
  <protectedRanges>
    <protectedRange sqref="C13:G23" name="範囲1"/>
  </protectedRanges>
  <mergeCells count="7">
    <mergeCell ref="O11:P11"/>
    <mergeCell ref="Q11:S11"/>
    <mergeCell ref="C31:E35"/>
    <mergeCell ref="C2:G3"/>
    <mergeCell ref="J11:J12"/>
    <mergeCell ref="K11:L11"/>
    <mergeCell ref="M11:N11"/>
  </mergeCells>
  <phoneticPr fontId="2"/>
  <conditionalFormatting sqref="D13:D23">
    <cfRule type="cellIs" dxfId="6" priority="2" operator="equal">
      <formula>64</formula>
    </cfRule>
    <cfRule type="cellIs" dxfId="5" priority="3" operator="equal">
      <formula>39</formula>
    </cfRule>
    <cfRule type="cellIs" dxfId="4" priority="4" operator="equal">
      <formula>65</formula>
    </cfRule>
    <cfRule type="cellIs" dxfId="3" priority="5" operator="equal">
      <formula>40</formula>
    </cfRule>
    <cfRule type="cellIs" dxfId="2" priority="6" operator="equal">
      <formula>18</formula>
    </cfRule>
    <cfRule type="cellIs" dxfId="1" priority="7" operator="equal">
      <formula>6</formula>
    </cfRule>
  </conditionalFormatting>
  <conditionalFormatting sqref="W13:W23">
    <cfRule type="cellIs" dxfId="0" priority="1" operator="equal">
      <formula>1</formula>
    </cfRule>
  </conditionalFormatting>
  <pageMargins left="0.98425196850393704" right="0.59055118110236227" top="0.98425196850393704" bottom="0.59055118110236227" header="0.51181102362204722" footer="0.51181102362204722"/>
  <pageSetup paperSize="9" scale="57" orientation="landscape" r:id="rId1"/>
  <headerFooter alignWithMargins="0">
    <oddHeader xml:space="preserve">&amp;C&amp;"HGP創英角ｺﾞｼｯｸUB,標準"&amp;12令和８年度国民健康保険税（仮計算）&amp;"ＭＳ Ｐゴシック,標準"&amp;11
</oddHeader>
    <oddFooter>&amp;R&amp;D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R8仮計算表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UR2T0073</dc:creator>
  <cp:lastModifiedBy>保険課/江橋 麻由</cp:lastModifiedBy>
  <cp:lastPrinted>2026-03-16T04:20:58Z</cp:lastPrinted>
  <dcterms:created xsi:type="dcterms:W3CDTF">2008-06-02T02:41:19Z</dcterms:created>
  <dcterms:modified xsi:type="dcterms:W3CDTF">2026-05-18T05:46:45Z</dcterms:modified>
</cp:coreProperties>
</file>